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activeTab="1"/>
  </bookViews>
  <sheets>
    <sheet name="global" sheetId="1" r:id="rId1"/>
    <sheet name="dsr" sheetId="2" r:id="rId2"/>
  </sheets>
  <definedNames>
    <definedName name="_xlnm.Print_Area" localSheetId="1">dsr!$A$1:$AB$28</definedName>
  </definedNames>
  <calcPr calcId="124519"/>
</workbook>
</file>

<file path=xl/calcChain.xml><?xml version="1.0" encoding="utf-8"?>
<calcChain xmlns="http://schemas.openxmlformats.org/spreadsheetml/2006/main">
  <c r="S5" i="2"/>
  <c r="R5"/>
  <c r="A1"/>
  <c r="P5"/>
  <c r="N5"/>
  <c r="M5"/>
  <c r="J27"/>
  <c r="E27"/>
  <c r="P26"/>
  <c r="J26"/>
  <c r="E26"/>
  <c r="P25"/>
  <c r="J25"/>
  <c r="E25"/>
  <c r="P24"/>
  <c r="J24"/>
  <c r="G24"/>
  <c r="E24"/>
  <c r="P23"/>
  <c r="J23"/>
  <c r="E23"/>
  <c r="P22"/>
  <c r="J22"/>
  <c r="E22"/>
  <c r="P21"/>
  <c r="J21"/>
  <c r="E21"/>
  <c r="V18"/>
  <c r="J20"/>
  <c r="G20"/>
  <c r="E20"/>
  <c r="V17"/>
  <c r="P19"/>
  <c r="P18"/>
  <c r="P17"/>
  <c r="E17"/>
  <c r="E16"/>
  <c r="E15"/>
  <c r="G14"/>
  <c r="E14"/>
  <c r="E13"/>
  <c r="E12"/>
  <c r="I2"/>
  <c r="I3"/>
  <c r="B3"/>
  <c r="P27" l="1"/>
  <c r="K27"/>
  <c r="K26"/>
  <c r="K25"/>
  <c r="K24"/>
  <c r="K23"/>
  <c r="K22"/>
  <c r="K21"/>
  <c r="K20"/>
  <c r="F8"/>
  <c r="E8"/>
  <c r="D8"/>
  <c r="C8"/>
  <c r="S8"/>
  <c r="Q8"/>
  <c r="P8"/>
  <c r="O8"/>
  <c r="O9" s="1"/>
  <c r="N8"/>
  <c r="M8"/>
  <c r="L8"/>
  <c r="P20" l="1"/>
  <c r="L9"/>
  <c r="V19"/>
  <c r="F9"/>
  <c r="E9"/>
</calcChain>
</file>

<file path=xl/sharedStrings.xml><?xml version="1.0" encoding="utf-8"?>
<sst xmlns="http://schemas.openxmlformats.org/spreadsheetml/2006/main" count="209" uniqueCount="168">
  <si>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</si>
  <si>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</si>
  <si>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</si>
  <si>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</si>
  <si>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</si>
  <si>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</si>
  <si>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</si>
  <si>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</si>
  <si>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</si>
  <si>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</si>
  <si>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</si>
  <si>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</si>
  <si>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</si>
  <si>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</si>
  <si>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</si>
  <si>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</si>
  <si>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</si>
  <si>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</si>
  <si>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</si>
  <si>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</si>
  <si>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</si>
  <si>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</si>
  <si>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</si>
  <si>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</si>
  <si>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</si>
  <si>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</si>
  <si>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</si>
  <si>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Tax</t>
  </si>
  <si>
    <t>Grand Total</t>
  </si>
  <si>
    <t>USD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</si>
  <si>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</si>
  <si>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</si>
  <si>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</si>
  <si>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</si>
  <si>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</si>
  <si>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</si>
  <si>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</si>
  <si>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</si>
  <si>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</si>
  <si>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</si>
  <si>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</si>
  <si>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</si>
  <si>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</si>
  <si>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</si>
  <si>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</si>
  <si>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</si>
  <si>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</si>
  <si>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</si>
  <si>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</si>
  <si>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</si>
  <si>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</si>
  <si>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</si>
  <si>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</si>
  <si>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</si>
  <si>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</si>
  <si>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</si>
  <si>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</si>
  <si>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</si>
  <si>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</si>
  <si>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spaid</t>
  </si>
  <si>
    <t>MSP01</t>
  </si>
  <si>
    <t>vchdt</t>
  </si>
  <si>
    <t>userid</t>
  </si>
  <si>
    <t>seed</t>
  </si>
  <si>
    <t>msgrtlnm</t>
  </si>
  <si>
    <t>Country</t>
  </si>
  <si>
    <t>countrynm</t>
  </si>
  <si>
    <t>spanm</t>
  </si>
  <si>
    <t>Percentage Revenue Today</t>
  </si>
  <si>
    <t>Percentage M/F Today</t>
  </si>
  <si>
    <t>nguest</t>
  </si>
  <si>
    <t>HOTEL INFORMATION</t>
  </si>
  <si>
    <t>No.of Available Room</t>
  </si>
  <si>
    <t>No.of Occupied Room</t>
  </si>
  <si>
    <t>No.of Hotel's Guest</t>
  </si>
  <si>
    <t>Hotel Occupancy</t>
  </si>
  <si>
    <t>Capture Rate</t>
  </si>
  <si>
    <t>Average Check</t>
  </si>
  <si>
    <t>Sales Summary</t>
  </si>
  <si>
    <t>Gift Shop</t>
  </si>
  <si>
    <t>Total Revenue</t>
  </si>
  <si>
    <t>Amount</t>
  </si>
  <si>
    <t>Remark</t>
  </si>
  <si>
    <t>Room Charge</t>
  </si>
  <si>
    <t>Package</t>
  </si>
  <si>
    <t>Cash</t>
  </si>
  <si>
    <t>Credit Card</t>
  </si>
  <si>
    <t>Voucher</t>
  </si>
  <si>
    <t>Others</t>
  </si>
  <si>
    <t>Sharing</t>
  </si>
  <si>
    <t>Agent</t>
  </si>
  <si>
    <t>agentid</t>
  </si>
  <si>
    <t>sharing</t>
  </si>
  <si>
    <t xml:space="preserve">Breakdown </t>
  </si>
  <si>
    <t>Total</t>
  </si>
  <si>
    <t xml:space="preserve">Amount </t>
  </si>
  <si>
    <t>SPA INFORMATION:</t>
  </si>
  <si>
    <t>MTD SPA TREATMENT</t>
  </si>
  <si>
    <t>MTD # OF SPA GUEST</t>
  </si>
  <si>
    <t>AVG REVENUE/GUEST</t>
  </si>
  <si>
    <t>CAP. RATE OF HOTEL GUEST</t>
  </si>
  <si>
    <t>MTD RETAIL SALES</t>
  </si>
  <si>
    <t>MTD # OF RETAIL GUEST</t>
  </si>
  <si>
    <t>CAP. RATE OF SPA GUEST</t>
  </si>
  <si>
    <t>Rev %</t>
  </si>
  <si>
    <t>FORECAST</t>
  </si>
  <si>
    <t>SPA TREATMENT</t>
  </si>
  <si>
    <t># OF SPA GUEST</t>
  </si>
  <si>
    <t>RETAIL SALES</t>
  </si>
  <si>
    <t># OF RETAIL GUEST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</si>
  <si>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</si>
  <si>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</si>
  <si>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</si>
  <si>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</si>
  <si>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</si>
  <si>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</si>
  <si>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</si>
  <si>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</si>
  <si>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</si>
  <si>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</si>
  <si>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</si>
  <si>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</si>
  <si>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</si>
  <si>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</si>
  <si>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</si>
  <si>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</si>
  <si>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</si>
  <si>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</si>
  <si>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</si>
  <si>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</si>
  <si>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</si>
  <si>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</si>
  <si>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</si>
  <si>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</si>
  <si>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</si>
  <si>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</si>
  <si>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</si>
  <si>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</si>
  <si>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</si>
  <si>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</si>
  <si>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</si>
  <si>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</si>
  <si>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</si>
  <si>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</si>
  <si>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</si>
  <si>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</si>
  <si>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</si>
  <si>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</si>
  <si>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</si>
  <si>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</si>
  <si>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</si>
  <si>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</si>
  <si>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</si>
  <si>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Variance</t>
  </si>
  <si>
    <t>rpt_title</t>
  </si>
  <si>
    <t>Payment</t>
  </si>
  <si>
    <t>pay_summary</t>
  </si>
  <si>
    <t xml:space="preserve">Prepared by: </t>
  </si>
  <si>
    <t>Approved By :</t>
  </si>
  <si>
    <t>Treatment / Retail</t>
  </si>
  <si>
    <t>agentnm</t>
  </si>
  <si>
    <t>Bill Notes</t>
  </si>
  <si>
    <t>noteshd</t>
  </si>
  <si>
    <t>Source</t>
  </si>
  <si>
    <t>source</t>
  </si>
  <si>
    <t>Book Source</t>
  </si>
  <si>
    <t>booksrc</t>
  </si>
  <si>
    <t>A4:AB5,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</si>
</sst>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2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  <font>
      <sz val="10"/>
      <name val="Calisto MT"/>
      <family val="1"/>
    </font>
    <font>
      <b/>
      <sz val="7"/>
      <name val="Calisto MT"/>
      <family val="1"/>
    </font>
    <font>
      <sz val="10"/>
      <name val="Calibri"/>
      <family val="2"/>
    </font>
    <font>
      <sz val="8"/>
      <name val="Calibri"/>
      <family val="2"/>
    </font>
    <font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Border="0">
      <alignment vertical="center"/>
    </xf>
  </cellStyleXfs>
  <cellXfs count="16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2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 wrapText="1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 applyProtection="1">
      <alignment vertical="top" wrapText="1"/>
    </xf>
    <xf numFmtId="164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left"/>
    </xf>
    <xf numFmtId="164" fontId="10" fillId="2" borderId="1" xfId="0" applyNumberFormat="1" applyFont="1" applyFill="1" applyBorder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center"/>
    </xf>
    <xf numFmtId="10" fontId="13" fillId="4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3" fillId="4" borderId="0" xfId="0" applyNumberFormat="1" applyFont="1" applyFill="1" applyBorder="1" applyAlignment="1" applyProtection="1">
      <alignment vertical="top" wrapText="1"/>
    </xf>
    <xf numFmtId="164" fontId="12" fillId="0" borderId="0" xfId="0" applyNumberFormat="1" applyFont="1" applyBorder="1" applyAlignment="1" applyProtection="1">
      <alignment horizontal="center"/>
    </xf>
    <xf numFmtId="10" fontId="12" fillId="4" borderId="0" xfId="1" applyNumberFormat="1" applyFont="1" applyFill="1" applyBorder="1" applyAlignment="1" applyProtection="1">
      <alignment horizontal="right"/>
    </xf>
    <xf numFmtId="4" fontId="12" fillId="0" borderId="0" xfId="1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top" wrapText="1"/>
    </xf>
    <xf numFmtId="164" fontId="12" fillId="0" borderId="0" xfId="0" applyNumberFormat="1" applyFont="1" applyBorder="1" applyAlignment="1" applyProtection="1"/>
    <xf numFmtId="0" fontId="12" fillId="0" borderId="0" xfId="0" applyFont="1"/>
    <xf numFmtId="49" fontId="0" fillId="0" borderId="0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/>
    <xf numFmtId="0" fontId="9" fillId="0" borderId="0" xfId="0" applyFont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Border="1" applyAlignment="1" applyProtection="1">
      <alignment vertical="top" wrapText="1"/>
    </xf>
    <xf numFmtId="164" fontId="14" fillId="0" borderId="0" xfId="0" applyNumberFormat="1" applyFont="1" applyBorder="1" applyAlignment="1" applyProtection="1">
      <alignment horizontal="center"/>
    </xf>
    <xf numFmtId="4" fontId="14" fillId="0" borderId="0" xfId="1" applyNumberFormat="1" applyFont="1" applyBorder="1" applyAlignment="1" applyProtection="1">
      <alignment horizontal="right"/>
    </xf>
    <xf numFmtId="49" fontId="14" fillId="0" borderId="0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center" vertical="top" wrapText="1"/>
    </xf>
    <xf numFmtId="164" fontId="14" fillId="0" borderId="0" xfId="0" applyNumberFormat="1" applyFont="1" applyBorder="1" applyAlignment="1" applyProtection="1"/>
    <xf numFmtId="0" fontId="14" fillId="0" borderId="0" xfId="0" applyFont="1"/>
    <xf numFmtId="0" fontId="14" fillId="4" borderId="5" xfId="0" applyFont="1" applyFill="1" applyBorder="1" applyAlignment="1">
      <alignment horizontal="center"/>
    </xf>
    <xf numFmtId="4" fontId="16" fillId="4" borderId="5" xfId="1" applyNumberFormat="1" applyFont="1" applyFill="1" applyBorder="1" applyAlignment="1" applyProtection="1">
      <alignment horizontal="left"/>
    </xf>
    <xf numFmtId="4" fontId="14" fillId="0" borderId="6" xfId="1" applyNumberFormat="1" applyFont="1" applyBorder="1" applyAlignment="1" applyProtection="1">
      <alignment horizontal="right"/>
    </xf>
    <xf numFmtId="39" fontId="14" fillId="0" borderId="13" xfId="1" applyNumberFormat="1" applyFont="1" applyBorder="1" applyAlignment="1" applyProtection="1">
      <alignment horizontal="right"/>
    </xf>
    <xf numFmtId="39" fontId="14" fillId="0" borderId="8" xfId="1" applyNumberFormat="1" applyFont="1" applyBorder="1" applyAlignment="1" applyProtection="1">
      <alignment horizontal="right"/>
    </xf>
    <xf numFmtId="39" fontId="16" fillId="0" borderId="10" xfId="1" applyNumberFormat="1" applyFont="1" applyBorder="1" applyAlignment="1" applyProtection="1">
      <alignment horizontal="right"/>
    </xf>
    <xf numFmtId="49" fontId="9" fillId="0" borderId="0" xfId="0" applyNumberFormat="1" applyFont="1"/>
    <xf numFmtId="14" fontId="9" fillId="0" borderId="0" xfId="0" applyNumberFormat="1" applyFont="1"/>
    <xf numFmtId="43" fontId="14" fillId="0" borderId="0" xfId="1" applyFont="1" applyBorder="1" applyAlignment="1">
      <alignment horizontal="right"/>
    </xf>
    <xf numFmtId="43" fontId="9" fillId="0" borderId="0" xfId="1" applyFont="1"/>
    <xf numFmtId="0" fontId="17" fillId="4" borderId="14" xfId="0" applyFont="1" applyFill="1" applyBorder="1"/>
    <xf numFmtId="164" fontId="16" fillId="4" borderId="15" xfId="0" applyNumberFormat="1" applyFont="1" applyFill="1" applyBorder="1" applyAlignment="1" applyProtection="1">
      <alignment horizontal="center"/>
    </xf>
    <xf numFmtId="0" fontId="19" fillId="0" borderId="16" xfId="0" applyFont="1" applyBorder="1"/>
    <xf numFmtId="43" fontId="14" fillId="0" borderId="18" xfId="1" applyFont="1" applyBorder="1" applyAlignment="1" applyProtection="1">
      <alignment horizontal="center"/>
    </xf>
    <xf numFmtId="0" fontId="19" fillId="0" borderId="19" xfId="0" applyFont="1" applyBorder="1"/>
    <xf numFmtId="43" fontId="14" fillId="0" borderId="20" xfId="1" applyFont="1" applyBorder="1" applyAlignment="1" applyProtection="1">
      <alignment horizontal="center"/>
    </xf>
    <xf numFmtId="0" fontId="19" fillId="0" borderId="21" xfId="0" applyFont="1" applyBorder="1"/>
    <xf numFmtId="43" fontId="14" fillId="0" borderId="0" xfId="1" applyNumberFormat="1" applyFont="1" applyAlignment="1">
      <alignment horizontal="right" vertical="top" wrapText="1"/>
    </xf>
    <xf numFmtId="43" fontId="14" fillId="0" borderId="0" xfId="1" applyNumberFormat="1" applyFont="1" applyAlignment="1">
      <alignment horizontal="right"/>
    </xf>
    <xf numFmtId="43" fontId="16" fillId="4" borderId="15" xfId="1" applyNumberFormat="1" applyFont="1" applyFill="1" applyBorder="1" applyAlignment="1">
      <alignment horizontal="right" vertical="top" wrapText="1"/>
    </xf>
    <xf numFmtId="43" fontId="14" fillId="0" borderId="17" xfId="1" applyNumberFormat="1" applyFont="1" applyBorder="1" applyAlignment="1">
      <alignment horizontal="right"/>
    </xf>
    <xf numFmtId="43" fontId="14" fillId="0" borderId="18" xfId="1" applyNumberFormat="1" applyFont="1" applyBorder="1" applyAlignment="1">
      <alignment horizontal="right" vertical="top" wrapText="1"/>
    </xf>
    <xf numFmtId="43" fontId="14" fillId="0" borderId="20" xfId="1" applyNumberFormat="1" applyFont="1" applyBorder="1" applyAlignment="1">
      <alignment horizontal="right" vertical="top" wrapText="1"/>
    </xf>
    <xf numFmtId="164" fontId="14" fillId="0" borderId="23" xfId="0" applyNumberFormat="1" applyFont="1" applyBorder="1" applyAlignment="1" applyProtection="1">
      <alignment horizontal="center"/>
    </xf>
    <xf numFmtId="164" fontId="16" fillId="4" borderId="22" xfId="0" applyNumberFormat="1" applyFont="1" applyFill="1" applyBorder="1" applyAlignment="1" applyProtection="1">
      <alignment horizontal="center"/>
    </xf>
    <xf numFmtId="49" fontId="14" fillId="0" borderId="23" xfId="0" applyNumberFormat="1" applyFont="1" applyBorder="1" applyAlignment="1">
      <alignment horizontal="left" vertical="top" wrapText="1"/>
    </xf>
    <xf numFmtId="4" fontId="14" fillId="0" borderId="18" xfId="1" applyNumberFormat="1" applyFont="1" applyBorder="1" applyAlignment="1" applyProtection="1">
      <alignment horizontal="right"/>
    </xf>
    <xf numFmtId="4" fontId="14" fillId="0" borderId="26" xfId="1" applyNumberFormat="1" applyFont="1" applyBorder="1" applyAlignment="1" applyProtection="1">
      <alignment horizontal="right"/>
    </xf>
    <xf numFmtId="0" fontId="14" fillId="0" borderId="0" xfId="0" applyFont="1" applyBorder="1"/>
    <xf numFmtId="4" fontId="14" fillId="0" borderId="5" xfId="1" applyNumberFormat="1" applyFont="1" applyBorder="1" applyAlignment="1" applyProtection="1">
      <alignment horizontal="right"/>
    </xf>
    <xf numFmtId="4" fontId="14" fillId="0" borderId="15" xfId="1" applyNumberFormat="1" applyFont="1" applyBorder="1" applyAlignment="1" applyProtection="1">
      <alignment horizontal="right"/>
    </xf>
    <xf numFmtId="4" fontId="14" fillId="4" borderId="15" xfId="1" applyNumberFormat="1" applyFont="1" applyFill="1" applyBorder="1" applyAlignment="1" applyProtection="1">
      <alignment horizontal="right"/>
    </xf>
    <xf numFmtId="49" fontId="15" fillId="4" borderId="14" xfId="0" applyNumberFormat="1" applyFont="1" applyFill="1" applyBorder="1" applyAlignment="1">
      <alignment horizontal="left" vertical="top"/>
    </xf>
    <xf numFmtId="49" fontId="14" fillId="4" borderId="15" xfId="0" applyNumberFormat="1" applyFont="1" applyFill="1" applyBorder="1" applyAlignment="1">
      <alignment horizontal="right" vertical="top" wrapText="1"/>
    </xf>
    <xf numFmtId="49" fontId="16" fillId="4" borderId="12" xfId="0" applyNumberFormat="1" applyFont="1" applyFill="1" applyBorder="1" applyAlignment="1" applyProtection="1">
      <alignment horizontal="center" vertical="top" wrapText="1"/>
    </xf>
    <xf numFmtId="0" fontId="20" fillId="0" borderId="0" xfId="0" applyFont="1" applyBorder="1" applyAlignment="1">
      <alignment horizontal="left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4" fontId="1" fillId="3" borderId="2" xfId="1" applyNumberFormat="1" applyFont="1" applyFill="1" applyBorder="1" applyAlignment="1" applyProtection="1">
      <alignment horizontal="left" vertical="center"/>
    </xf>
    <xf numFmtId="4" fontId="14" fillId="5" borderId="0" xfId="1" applyNumberFormat="1" applyFont="1" applyFill="1" applyBorder="1" applyAlignment="1" applyProtection="1">
      <alignment horizontal="right"/>
    </xf>
    <xf numFmtId="4" fontId="4" fillId="0" borderId="0" xfId="1" applyNumberFormat="1" applyFont="1" applyBorder="1" applyAlignment="1" applyProtection="1">
      <alignment horizontal="left"/>
    </xf>
    <xf numFmtId="49" fontId="16" fillId="4" borderId="11" xfId="0" applyNumberFormat="1" applyFont="1" applyFill="1" applyBorder="1" applyAlignment="1" applyProtection="1">
      <alignment horizontal="right" vertical="top" wrapText="1"/>
    </xf>
    <xf numFmtId="49" fontId="14" fillId="0" borderId="7" xfId="0" applyNumberFormat="1" applyFont="1" applyBorder="1" applyAlignment="1" applyProtection="1">
      <alignment horizontal="right" vertical="top" wrapText="1"/>
    </xf>
    <xf numFmtId="49" fontId="16" fillId="0" borderId="9" xfId="0" applyNumberFormat="1" applyFont="1" applyBorder="1" applyAlignment="1" applyProtection="1">
      <alignment horizontal="right" vertical="top" wrapText="1"/>
    </xf>
    <xf numFmtId="39" fontId="14" fillId="0" borderId="23" xfId="0" applyNumberFormat="1" applyFont="1" applyBorder="1" applyAlignment="1" applyProtection="1">
      <alignment horizontal="right"/>
    </xf>
    <xf numFmtId="39" fontId="14" fillId="0" borderId="24" xfId="0" applyNumberFormat="1" applyFont="1" applyBorder="1" applyAlignment="1" applyProtection="1">
      <alignment horizontal="right"/>
    </xf>
    <xf numFmtId="0" fontId="23" fillId="0" borderId="0" xfId="2" applyFont="1" applyFill="1" applyBorder="1" applyAlignment="1">
      <alignment horizontal="center" vertical="center"/>
    </xf>
    <xf numFmtId="39" fontId="14" fillId="0" borderId="0" xfId="1" applyNumberFormat="1" applyFont="1" applyBorder="1" applyAlignment="1" applyProtection="1">
      <alignment horizontal="center"/>
    </xf>
    <xf numFmtId="39" fontId="16" fillId="0" borderId="0" xfId="1" applyNumberFormat="1" applyFont="1" applyBorder="1" applyAlignment="1" applyProtection="1">
      <alignment horizontal="center"/>
    </xf>
    <xf numFmtId="39" fontId="16" fillId="0" borderId="5" xfId="1" applyNumberFormat="1" applyFont="1" applyBorder="1" applyAlignment="1" applyProtection="1">
      <alignment horizontal="right"/>
    </xf>
    <xf numFmtId="39" fontId="14" fillId="0" borderId="0" xfId="1" applyNumberFormat="1" applyFont="1" applyBorder="1" applyAlignment="1" applyProtection="1">
      <alignment horizontal="right"/>
    </xf>
    <xf numFmtId="43" fontId="14" fillId="0" borderId="5" xfId="1" applyNumberFormat="1" applyFont="1" applyBorder="1" applyAlignment="1">
      <alignment horizontal="right" vertical="top" wrapText="1"/>
    </xf>
    <xf numFmtId="164" fontId="16" fillId="4" borderId="14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left"/>
    </xf>
    <xf numFmtId="49" fontId="14" fillId="0" borderId="16" xfId="0" applyNumberFormat="1" applyFont="1" applyBorder="1" applyAlignment="1" applyProtection="1">
      <alignment horizontal="right" vertical="top" wrapText="1"/>
    </xf>
    <xf numFmtId="49" fontId="14" fillId="0" borderId="0" xfId="0" applyNumberFormat="1" applyFont="1" applyBorder="1" applyAlignment="1" applyProtection="1">
      <alignment horizontal="right" vertical="top" wrapText="1"/>
    </xf>
    <xf numFmtId="49" fontId="16" fillId="0" borderId="14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49" fontId="16" fillId="0" borderId="25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horizontal="right" vertical="top" wrapText="1"/>
    </xf>
    <xf numFmtId="39" fontId="16" fillId="0" borderId="6" xfId="1" applyNumberFormat="1" applyFont="1" applyBorder="1" applyAlignment="1" applyProtection="1">
      <alignment horizontal="right"/>
    </xf>
    <xf numFmtId="165" fontId="1" fillId="0" borderId="4" xfId="0" applyNumberFormat="1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left"/>
    </xf>
    <xf numFmtId="49" fontId="14" fillId="4" borderId="5" xfId="0" applyNumberFormat="1" applyFont="1" applyFill="1" applyBorder="1" applyAlignment="1">
      <alignment horizontal="center" vertical="top" wrapText="1"/>
    </xf>
    <xf numFmtId="49" fontId="14" fillId="0" borderId="2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49" fontId="14" fillId="0" borderId="16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left" vertical="top"/>
    </xf>
    <xf numFmtId="164" fontId="16" fillId="4" borderId="5" xfId="0" applyNumberFormat="1" applyFont="1" applyFill="1" applyBorder="1" applyAlignment="1" applyProtection="1">
      <alignment horizontal="right"/>
    </xf>
    <xf numFmtId="0" fontId="11" fillId="2" borderId="1" xfId="0" applyFont="1" applyFill="1" applyBorder="1" applyAlignment="1">
      <alignment horizontal="center"/>
    </xf>
    <xf numFmtId="0" fontId="19" fillId="0" borderId="16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49" fontId="14" fillId="0" borderId="19" xfId="0" applyNumberFormat="1" applyFont="1" applyBorder="1" applyAlignment="1">
      <alignment horizontal="left" vertical="top"/>
    </xf>
    <xf numFmtId="49" fontId="14" fillId="0" borderId="4" xfId="0" applyNumberFormat="1" applyFont="1" applyBorder="1" applyAlignment="1">
      <alignment horizontal="left" vertical="top"/>
    </xf>
    <xf numFmtId="43" fontId="14" fillId="0" borderId="4" xfId="1" applyNumberFormat="1" applyFont="1" applyBorder="1" applyAlignment="1">
      <alignment horizontal="right" vertical="top" wrapText="1"/>
    </xf>
    <xf numFmtId="0" fontId="18" fillId="0" borderId="16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3" fontId="16" fillId="4" borderId="5" xfId="1" applyNumberFormat="1" applyFont="1" applyFill="1" applyBorder="1" applyAlignment="1">
      <alignment horizontal="right"/>
    </xf>
    <xf numFmtId="43" fontId="14" fillId="0" borderId="1" xfId="1" applyNumberFormat="1" applyFont="1" applyBorder="1" applyAlignment="1">
      <alignment horizontal="right"/>
    </xf>
    <xf numFmtId="43" fontId="14" fillId="0" borderId="0" xfId="1" applyNumberFormat="1" applyFont="1" applyBorder="1" applyAlignment="1">
      <alignment horizontal="right"/>
    </xf>
    <xf numFmtId="43" fontId="14" fillId="0" borderId="4" xfId="1" applyNumberFormat="1" applyFont="1" applyBorder="1" applyAlignment="1">
      <alignment horizontal="right"/>
    </xf>
    <xf numFmtId="0" fontId="17" fillId="4" borderId="14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selection activeCell="B8" sqref="B8"/>
    </sheetView>
  </sheetViews>
  <sheetFormatPr defaultRowHeight="12.75"/>
  <cols>
    <col min="1" max="1" width="22.5703125" style="69"/>
    <col min="2" max="2" width="16.5703125" style="69"/>
    <col min="3" max="3" width="9.28515625" style="69"/>
    <col min="4" max="4" width="18.7109375" style="69" customWidth="1"/>
    <col min="5" max="5" width="15.42578125" style="69"/>
    <col min="6" max="6" width="1.140625" style="69"/>
    <col min="7" max="7" width="17.7109375" style="69"/>
    <col min="8" max="8" width="22.5703125" style="69"/>
    <col min="9" max="9" width="33.28515625" style="69"/>
    <col min="10" max="10" width="13" style="69"/>
    <col min="11" max="11" width="9.42578125" style="69"/>
    <col min="12" max="12" width="13" style="69"/>
    <col min="13" max="13" width="10.7109375" style="69"/>
    <col min="14" max="15" width="14.140625" style="69"/>
    <col min="16" max="16" width="17.7109375" style="69"/>
    <col min="17" max="17" width="15.42578125" style="69"/>
    <col min="18" max="18" width="19" style="69"/>
    <col min="19" max="19" width="15.42578125" style="69"/>
    <col min="20" max="20" width="19" style="69"/>
    <col min="21" max="21" width="17.7109375" style="69"/>
    <col min="22" max="23" width="9.28515625" style="69"/>
    <col min="24" max="24" width="11.7109375" style="69"/>
    <col min="25" max="1025" width="9.28515625" style="69"/>
    <col min="1026" max="16384" width="9.140625" style="69"/>
  </cols>
  <sheetData>
    <row r="1" spans="1:13">
      <c r="A1" s="69" t="s">
        <v>0</v>
      </c>
      <c r="B1" s="69">
        <v>6</v>
      </c>
      <c r="D1" s="69" t="s">
        <v>1</v>
      </c>
      <c r="G1" s="69" t="s">
        <v>2</v>
      </c>
    </row>
    <row r="2" spans="1:13">
      <c r="A2" s="69" t="s">
        <v>3</v>
      </c>
      <c r="B2" s="69">
        <v>8</v>
      </c>
      <c r="D2" s="85" t="s">
        <v>59</v>
      </c>
      <c r="E2" s="85" t="s">
        <v>60</v>
      </c>
      <c r="F2" s="85"/>
      <c r="G2" s="85" t="s">
        <v>5</v>
      </c>
      <c r="H2" s="85"/>
      <c r="I2" s="85"/>
      <c r="J2" s="85"/>
      <c r="K2" s="85"/>
      <c r="L2" s="85"/>
      <c r="M2" s="85"/>
    </row>
    <row r="3" spans="1:13">
      <c r="A3" s="69" t="s">
        <v>6</v>
      </c>
      <c r="B3" s="69">
        <v>27</v>
      </c>
      <c r="D3" s="69" t="s">
        <v>61</v>
      </c>
      <c r="E3" s="86">
        <v>41251</v>
      </c>
      <c r="F3" s="85"/>
      <c r="G3" s="85" t="s">
        <v>52</v>
      </c>
      <c r="H3" s="85"/>
      <c r="I3" s="85"/>
      <c r="J3" s="85"/>
      <c r="K3" s="85"/>
      <c r="L3" s="85"/>
      <c r="M3" s="85"/>
    </row>
    <row r="4" spans="1:13">
      <c r="A4" s="69" t="s">
        <v>8</v>
      </c>
      <c r="B4" s="69" t="s">
        <v>4</v>
      </c>
      <c r="D4" s="69" t="s">
        <v>110</v>
      </c>
      <c r="E4" s="69" t="s">
        <v>111</v>
      </c>
      <c r="G4" s="69" t="s">
        <v>53</v>
      </c>
    </row>
    <row r="5" spans="1:13">
      <c r="A5" s="69" t="s">
        <v>9</v>
      </c>
      <c r="B5" s="69" t="s">
        <v>10</v>
      </c>
      <c r="D5" s="69" t="s">
        <v>62</v>
      </c>
      <c r="E5" s="69" t="s">
        <v>112</v>
      </c>
      <c r="G5" s="69" t="s">
        <v>54</v>
      </c>
    </row>
    <row r="6" spans="1:13">
      <c r="A6" s="69" t="s">
        <v>11</v>
      </c>
      <c r="B6" s="69" t="s">
        <v>12</v>
      </c>
      <c r="D6" s="69" t="s">
        <v>63</v>
      </c>
      <c r="E6" s="69">
        <v>5883</v>
      </c>
      <c r="G6" s="69" t="s">
        <v>55</v>
      </c>
    </row>
    <row r="7" spans="1:13">
      <c r="A7" s="69" t="s">
        <v>14</v>
      </c>
      <c r="B7" s="69" t="s">
        <v>167</v>
      </c>
      <c r="D7" s="69" t="s">
        <v>67</v>
      </c>
      <c r="E7" s="69" t="s">
        <v>113</v>
      </c>
      <c r="G7" s="69" t="s">
        <v>114</v>
      </c>
    </row>
    <row r="8" spans="1:13">
      <c r="A8" s="69" t="s">
        <v>16</v>
      </c>
      <c r="D8" s="69" t="s">
        <v>115</v>
      </c>
      <c r="E8" s="86">
        <v>41133</v>
      </c>
      <c r="G8" s="69" t="s">
        <v>66</v>
      </c>
    </row>
    <row r="9" spans="1:13">
      <c r="D9" s="69" t="s">
        <v>116</v>
      </c>
      <c r="E9" s="88">
        <v>535</v>
      </c>
      <c r="G9" s="69" t="s">
        <v>7</v>
      </c>
    </row>
    <row r="10" spans="1:13">
      <c r="D10" s="69" t="s">
        <v>117</v>
      </c>
      <c r="E10" s="88">
        <v>336</v>
      </c>
      <c r="G10" s="69" t="s">
        <v>64</v>
      </c>
    </row>
    <row r="11" spans="1:13">
      <c r="D11" s="69" t="s">
        <v>70</v>
      </c>
      <c r="E11" s="88">
        <v>647</v>
      </c>
      <c r="G11" s="69" t="s">
        <v>118</v>
      </c>
    </row>
    <row r="12" spans="1:13">
      <c r="D12" s="69" t="s">
        <v>119</v>
      </c>
      <c r="E12" s="88">
        <v>62.8</v>
      </c>
      <c r="G12" s="69" t="s">
        <v>120</v>
      </c>
    </row>
    <row r="13" spans="1:13">
      <c r="D13" s="69" t="s">
        <v>121</v>
      </c>
      <c r="E13" s="88">
        <v>3.86</v>
      </c>
      <c r="G13" s="69" t="s">
        <v>34</v>
      </c>
    </row>
    <row r="14" spans="1:13">
      <c r="D14" s="69" t="s">
        <v>122</v>
      </c>
      <c r="E14" s="88">
        <v>59</v>
      </c>
      <c r="G14" s="69" t="s">
        <v>92</v>
      </c>
    </row>
    <row r="15" spans="1:13">
      <c r="D15" s="69" t="s">
        <v>123</v>
      </c>
      <c r="E15" s="88">
        <v>50558.53</v>
      </c>
      <c r="G15" s="69" t="s">
        <v>91</v>
      </c>
    </row>
    <row r="16" spans="1:13">
      <c r="D16" s="69" t="s">
        <v>124</v>
      </c>
      <c r="E16" s="88">
        <v>0</v>
      </c>
      <c r="G16" s="69" t="s">
        <v>35</v>
      </c>
    </row>
    <row r="17" spans="4:7">
      <c r="D17" s="69" t="s">
        <v>125</v>
      </c>
      <c r="E17" s="88">
        <v>0</v>
      </c>
      <c r="G17" s="69" t="s">
        <v>126</v>
      </c>
    </row>
    <row r="18" spans="4:7">
      <c r="D18" s="69" t="s">
        <v>127</v>
      </c>
      <c r="E18" s="88">
        <v>0</v>
      </c>
      <c r="G18" s="69" t="s">
        <v>13</v>
      </c>
    </row>
    <row r="19" spans="4:7">
      <c r="D19" s="69" t="s">
        <v>128</v>
      </c>
      <c r="E19" s="88">
        <v>4596.16</v>
      </c>
      <c r="G19" s="69" t="s">
        <v>36</v>
      </c>
    </row>
    <row r="20" spans="4:7">
      <c r="D20" s="69" t="s">
        <v>129</v>
      </c>
      <c r="E20" s="88">
        <v>0</v>
      </c>
      <c r="G20" s="69" t="s">
        <v>37</v>
      </c>
    </row>
    <row r="21" spans="4:7">
      <c r="D21" s="69" t="s">
        <v>130</v>
      </c>
      <c r="E21" s="88">
        <v>0</v>
      </c>
      <c r="G21" s="69" t="s">
        <v>15</v>
      </c>
    </row>
    <row r="22" spans="4:7">
      <c r="D22" s="69" t="s">
        <v>131</v>
      </c>
      <c r="E22" s="88">
        <v>0</v>
      </c>
      <c r="G22" s="69" t="s">
        <v>38</v>
      </c>
    </row>
    <row r="23" spans="4:7">
      <c r="D23" s="69" t="s">
        <v>145</v>
      </c>
      <c r="E23" s="88">
        <v>30876.09</v>
      </c>
      <c r="G23" s="69" t="s">
        <v>39</v>
      </c>
    </row>
    <row r="24" spans="4:7">
      <c r="D24" s="69" t="s">
        <v>146</v>
      </c>
      <c r="E24" s="88">
        <v>525</v>
      </c>
      <c r="G24" s="69" t="s">
        <v>40</v>
      </c>
    </row>
    <row r="25" spans="4:7">
      <c r="D25" s="69" t="s">
        <v>147</v>
      </c>
      <c r="E25" s="88">
        <v>4480.7700000000004</v>
      </c>
      <c r="G25" s="69" t="s">
        <v>41</v>
      </c>
    </row>
    <row r="26" spans="4:7">
      <c r="D26" s="69" t="s">
        <v>148</v>
      </c>
      <c r="E26" s="88">
        <v>42</v>
      </c>
      <c r="G26" s="69" t="s">
        <v>136</v>
      </c>
    </row>
    <row r="27" spans="4:7">
      <c r="D27" s="69" t="s">
        <v>144</v>
      </c>
      <c r="E27" s="88">
        <v>236768</v>
      </c>
      <c r="G27" s="69" t="s">
        <v>42</v>
      </c>
    </row>
    <row r="28" spans="4:7">
      <c r="D28" s="69" t="s">
        <v>149</v>
      </c>
      <c r="E28" s="88">
        <v>58.81</v>
      </c>
      <c r="G28" s="69" t="s">
        <v>139</v>
      </c>
    </row>
    <row r="29" spans="4:7">
      <c r="D29" s="69" t="s">
        <v>150</v>
      </c>
      <c r="E29" s="88">
        <v>8</v>
      </c>
      <c r="G29" s="69" t="s">
        <v>17</v>
      </c>
    </row>
    <row r="30" spans="4:7">
      <c r="D30" s="69" t="s">
        <v>151</v>
      </c>
      <c r="E30" s="88">
        <v>0.22</v>
      </c>
      <c r="G30" s="69" t="s">
        <v>43</v>
      </c>
    </row>
    <row r="31" spans="4:7">
      <c r="D31" s="69" t="s">
        <v>152</v>
      </c>
      <c r="E31" s="88">
        <v>106.69</v>
      </c>
    </row>
    <row r="32" spans="4:7">
      <c r="D32" s="69" t="s">
        <v>132</v>
      </c>
      <c r="E32" s="88">
        <v>14715357</v>
      </c>
    </row>
    <row r="33" spans="4:5">
      <c r="D33" s="69" t="s">
        <v>133</v>
      </c>
      <c r="E33" s="88">
        <v>0</v>
      </c>
    </row>
    <row r="34" spans="4:5">
      <c r="D34" s="69" t="s">
        <v>134</v>
      </c>
      <c r="E34" s="88">
        <v>5056192</v>
      </c>
    </row>
    <row r="35" spans="4:5">
      <c r="D35" s="69" t="s">
        <v>135</v>
      </c>
      <c r="E35" s="88">
        <v>0</v>
      </c>
    </row>
    <row r="36" spans="4:5">
      <c r="D36" s="69" t="s">
        <v>137</v>
      </c>
      <c r="E36" s="88">
        <v>0</v>
      </c>
    </row>
    <row r="37" spans="4:5">
      <c r="D37" s="69" t="s">
        <v>138</v>
      </c>
      <c r="E37" s="88">
        <v>0</v>
      </c>
    </row>
    <row r="38" spans="4:5">
      <c r="D38" s="69" t="s">
        <v>13</v>
      </c>
      <c r="E38" s="88">
        <v>14151541.25</v>
      </c>
    </row>
    <row r="39" spans="4:5">
      <c r="D39" s="69" t="s">
        <v>15</v>
      </c>
      <c r="E39" s="88">
        <v>2053686.25</v>
      </c>
    </row>
    <row r="40" spans="4:5">
      <c r="D40" s="69" t="s">
        <v>140</v>
      </c>
      <c r="E40" s="88">
        <v>17512549</v>
      </c>
    </row>
    <row r="41" spans="4:5">
      <c r="D41" s="69" t="s">
        <v>141</v>
      </c>
      <c r="E41" s="88">
        <v>2259000</v>
      </c>
    </row>
    <row r="42" spans="4:5">
      <c r="D42" s="69" t="s">
        <v>142</v>
      </c>
      <c r="E42" s="88"/>
    </row>
    <row r="43" spans="4:5">
      <c r="D43" s="69" t="s">
        <v>154</v>
      </c>
      <c r="E43" s="88" t="s">
        <v>18</v>
      </c>
    </row>
    <row r="44" spans="4:5">
      <c r="E44" s="88"/>
    </row>
    <row r="45" spans="4:5">
      <c r="E45" s="88"/>
    </row>
    <row r="46" spans="4:5">
      <c r="E46" s="88"/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8"/>
  <sheetViews>
    <sheetView tabSelected="1" topLeftCell="S1" zoomScale="90" zoomScaleNormal="90" workbookViewId="0">
      <selection activeCell="T23" sqref="T23"/>
    </sheetView>
  </sheetViews>
  <sheetFormatPr defaultRowHeight="15"/>
  <cols>
    <col min="1" max="1" width="5.28515625" style="1" customWidth="1"/>
    <col min="2" max="2" width="8.5703125" style="1" customWidth="1"/>
    <col min="3" max="4" width="7" style="1" customWidth="1"/>
    <col min="5" max="5" width="7.5703125" style="1" customWidth="1"/>
    <col min="6" max="6" width="8.140625" style="1" customWidth="1"/>
    <col min="7" max="7" width="22.5703125" style="21" customWidth="1"/>
    <col min="8" max="8" width="16.28515625" style="21" customWidth="1"/>
    <col min="9" max="9" width="28.85546875" style="25" customWidth="1"/>
    <col min="10" max="10" width="10" style="2" customWidth="1"/>
    <col min="11" max="11" width="9.7109375" style="2" customWidth="1"/>
    <col min="12" max="12" width="11.85546875" style="15" customWidth="1"/>
    <col min="13" max="15" width="10" style="15" customWidth="1"/>
    <col min="16" max="16" width="9.42578125" style="15" customWidth="1"/>
    <col min="17" max="17" width="11.5703125" style="15" customWidth="1"/>
    <col min="18" max="18" width="10.28515625" style="15" customWidth="1"/>
    <col min="19" max="19" width="18.28515625" style="15" customWidth="1"/>
    <col min="20" max="20" width="26.28515625" style="15" customWidth="1"/>
    <col min="21" max="21" width="21.140625" style="22" customWidth="1"/>
    <col min="22" max="22" width="27" style="22" customWidth="1"/>
    <col min="23" max="23" width="19.7109375" style="57" customWidth="1"/>
    <col min="24" max="24" width="17.42578125" style="57" customWidth="1"/>
    <col min="25" max="25" width="11.140625" style="57" customWidth="1"/>
    <col min="26" max="26" width="8" style="57" customWidth="1"/>
    <col min="27" max="27" width="19.42578125" style="57" customWidth="1"/>
    <col min="28" max="28" width="24.5703125" style="22" customWidth="1"/>
    <col min="29" max="36" width="9.28515625" style="3"/>
    <col min="37" max="1043" width="8.5703125"/>
  </cols>
  <sheetData>
    <row r="1" spans="1:36" ht="15.75">
      <c r="A1" s="114" t="e">
        <f>VLOOKUP("area_title",global!$D$2:$E$80,2,0)</f>
        <v>#N/A</v>
      </c>
    </row>
    <row r="2" spans="1:36" ht="15.75">
      <c r="A2" s="30" t="s">
        <v>18</v>
      </c>
      <c r="I2" s="136" t="str">
        <f>VLOOKUP("rpt_title",global!$D$2:$E$80,2,0)</f>
        <v>Daily Sales Report</v>
      </c>
      <c r="J2" s="136"/>
    </row>
    <row r="3" spans="1:36" ht="15" customHeight="1">
      <c r="A3" s="4" t="s">
        <v>58</v>
      </c>
      <c r="B3" s="144">
        <f>VLOOKUP("cvchdt",global!$D$2:$E$80,2,0)</f>
        <v>41133</v>
      </c>
      <c r="C3" s="144"/>
      <c r="D3" s="4"/>
      <c r="E3" s="4"/>
      <c r="F3" s="4"/>
      <c r="G3" s="4"/>
      <c r="H3" s="4"/>
      <c r="I3" s="145" t="str">
        <f>VLOOKUP("spanm",global!$D$2:$E$80,2,0)</f>
        <v>Ayodya Spa</v>
      </c>
      <c r="J3" s="145"/>
    </row>
    <row r="4" spans="1:36" s="44" customFormat="1">
      <c r="A4" s="36"/>
      <c r="B4" s="36"/>
      <c r="C4" s="37" t="s">
        <v>56</v>
      </c>
      <c r="D4" s="37" t="s">
        <v>56</v>
      </c>
      <c r="E4" s="152" t="s">
        <v>49</v>
      </c>
      <c r="F4" s="152"/>
      <c r="G4" s="38"/>
      <c r="H4" s="38"/>
      <c r="I4" s="39"/>
      <c r="J4" s="40"/>
      <c r="K4" s="40" t="s">
        <v>46</v>
      </c>
      <c r="L4" s="41" t="s">
        <v>22</v>
      </c>
      <c r="M4" s="41" t="s">
        <v>26</v>
      </c>
      <c r="N4" s="41" t="s">
        <v>27</v>
      </c>
      <c r="O4" s="41" t="s">
        <v>23</v>
      </c>
      <c r="P4" s="41" t="s">
        <v>27</v>
      </c>
      <c r="Q4" s="41" t="s">
        <v>28</v>
      </c>
      <c r="R4" s="41" t="s">
        <v>48</v>
      </c>
      <c r="S4" s="41" t="s">
        <v>30</v>
      </c>
      <c r="T4" s="41"/>
      <c r="U4" s="42"/>
      <c r="V4" s="42"/>
      <c r="W4" s="58"/>
      <c r="X4" s="58"/>
      <c r="Y4" s="58"/>
      <c r="Z4" s="58"/>
      <c r="AA4" s="58"/>
      <c r="AB4" s="42"/>
      <c r="AC4" s="43"/>
      <c r="AD4" s="43"/>
      <c r="AE4" s="43"/>
      <c r="AF4" s="43"/>
      <c r="AG4" s="43"/>
      <c r="AH4" s="43"/>
      <c r="AI4" s="43"/>
      <c r="AJ4" s="43"/>
    </row>
    <row r="5" spans="1:36" ht="15.75" thickBot="1">
      <c r="A5" s="13" t="s">
        <v>19</v>
      </c>
      <c r="B5" s="13" t="s">
        <v>44</v>
      </c>
      <c r="C5" s="28" t="s">
        <v>23</v>
      </c>
      <c r="D5" s="28" t="s">
        <v>57</v>
      </c>
      <c r="E5" s="28" t="s">
        <v>50</v>
      </c>
      <c r="F5" s="28" t="s">
        <v>51</v>
      </c>
      <c r="G5" s="23" t="s">
        <v>45</v>
      </c>
      <c r="H5" s="23" t="s">
        <v>65</v>
      </c>
      <c r="I5" s="26" t="s">
        <v>159</v>
      </c>
      <c r="J5" s="14" t="s">
        <v>24</v>
      </c>
      <c r="K5" s="14" t="s">
        <v>47</v>
      </c>
      <c r="L5" s="16" t="s">
        <v>25</v>
      </c>
      <c r="M5" s="17" t="e">
        <f>VLOOKUP("trsc_pct",global!$D$2:$E$80,2,0)</f>
        <v>#N/A</v>
      </c>
      <c r="N5" s="17" t="e">
        <f>VLOOKUP("trtax_pct",global!$D$2:$E$80,2,0)</f>
        <v>#N/A</v>
      </c>
      <c r="O5" s="16" t="s">
        <v>25</v>
      </c>
      <c r="P5" s="17" t="e">
        <f>VLOOKUP("rtltax_pct",global!$D$2:$E$80,2,0)</f>
        <v>#N/A</v>
      </c>
      <c r="Q5" s="16" t="s">
        <v>29</v>
      </c>
      <c r="R5" s="16" t="e">
        <f>VLOOKUP("def_curr",global!$D$2:$E$80,2,0)</f>
        <v>#N/A</v>
      </c>
      <c r="S5" s="16" t="e">
        <f>VLOOKUP("def_curr",global!$D$2:$E$80,2,0)</f>
        <v>#N/A</v>
      </c>
      <c r="T5" s="120" t="s">
        <v>161</v>
      </c>
      <c r="U5" s="23" t="s">
        <v>32</v>
      </c>
      <c r="V5" s="23" t="s">
        <v>33</v>
      </c>
      <c r="W5" s="23" t="s">
        <v>90</v>
      </c>
      <c r="X5" s="23" t="s">
        <v>165</v>
      </c>
      <c r="Y5" s="59" t="s">
        <v>163</v>
      </c>
      <c r="Z5" s="59" t="s">
        <v>89</v>
      </c>
      <c r="AA5" s="59" t="s">
        <v>155</v>
      </c>
      <c r="AB5" s="23" t="s">
        <v>31</v>
      </c>
    </row>
    <row r="6" spans="1:36" s="68" customFormat="1" ht="13.5" customHeight="1">
      <c r="A6" s="9" t="s">
        <v>20</v>
      </c>
      <c r="B6" s="9" t="s">
        <v>5</v>
      </c>
      <c r="C6" s="9" t="s">
        <v>53</v>
      </c>
      <c r="D6" s="9" t="s">
        <v>52</v>
      </c>
      <c r="E6" s="9" t="s">
        <v>54</v>
      </c>
      <c r="F6" s="9" t="s">
        <v>55</v>
      </c>
      <c r="G6" s="64" t="s">
        <v>7</v>
      </c>
      <c r="H6" s="64" t="s">
        <v>66</v>
      </c>
      <c r="I6" s="65" t="s">
        <v>64</v>
      </c>
      <c r="J6" s="9" t="s">
        <v>34</v>
      </c>
      <c r="K6" s="11" t="s">
        <v>35</v>
      </c>
      <c r="L6" s="18" t="s">
        <v>13</v>
      </c>
      <c r="M6" s="18" t="s">
        <v>36</v>
      </c>
      <c r="N6" s="18" t="s">
        <v>37</v>
      </c>
      <c r="O6" s="18" t="s">
        <v>15</v>
      </c>
      <c r="P6" s="18" t="s">
        <v>38</v>
      </c>
      <c r="Q6" s="18" t="s">
        <v>39</v>
      </c>
      <c r="R6" s="18" t="s">
        <v>40</v>
      </c>
      <c r="S6" s="18" t="s">
        <v>41</v>
      </c>
      <c r="T6" s="122" t="s">
        <v>162</v>
      </c>
      <c r="U6" s="66" t="s">
        <v>42</v>
      </c>
      <c r="V6" s="66" t="s">
        <v>17</v>
      </c>
      <c r="W6" s="66" t="s">
        <v>160</v>
      </c>
      <c r="X6" s="66" t="s">
        <v>166</v>
      </c>
      <c r="Y6" s="67" t="s">
        <v>164</v>
      </c>
      <c r="Z6" s="67" t="s">
        <v>92</v>
      </c>
      <c r="AA6" s="66" t="s">
        <v>156</v>
      </c>
      <c r="AB6" s="66" t="s">
        <v>43</v>
      </c>
      <c r="AC6" s="10" t="s">
        <v>21</v>
      </c>
      <c r="AD6" s="12"/>
      <c r="AE6" s="12"/>
      <c r="AF6" s="12"/>
      <c r="AG6" s="12"/>
      <c r="AH6" s="12"/>
      <c r="AI6" s="12"/>
      <c r="AJ6" s="12"/>
    </row>
    <row r="7" spans="1:36" s="8" customFormat="1" ht="13.5" thickBot="1">
      <c r="A7" s="7"/>
      <c r="B7" s="7"/>
      <c r="C7" s="7"/>
      <c r="D7" s="7"/>
      <c r="E7" s="7"/>
      <c r="F7" s="7"/>
      <c r="G7" s="24"/>
      <c r="H7" s="24"/>
      <c r="I7" s="27"/>
      <c r="J7" s="5"/>
      <c r="K7" s="5"/>
      <c r="L7" s="19"/>
      <c r="M7" s="19"/>
      <c r="N7" s="19"/>
      <c r="O7" s="19"/>
      <c r="P7" s="19"/>
      <c r="Q7" s="19"/>
      <c r="R7" s="19"/>
      <c r="S7" s="19"/>
      <c r="T7" s="19"/>
      <c r="U7" s="62"/>
      <c r="V7" s="62"/>
      <c r="W7" s="63"/>
      <c r="X7" s="63"/>
      <c r="Y7" s="63"/>
      <c r="Z7" s="63"/>
      <c r="AA7" s="63"/>
      <c r="AB7" s="62"/>
      <c r="AC7" s="6"/>
      <c r="AD7" s="6"/>
      <c r="AE7" s="6"/>
      <c r="AF7" s="6"/>
      <c r="AG7" s="6"/>
      <c r="AH7" s="6"/>
      <c r="AI7" s="6"/>
      <c r="AJ7" s="6"/>
    </row>
    <row r="8" spans="1:36" s="8" customFormat="1" ht="14.25" thickTop="1" thickBot="1">
      <c r="A8" s="31"/>
      <c r="B8" s="31"/>
      <c r="C8" s="29">
        <f t="shared" ref="C8:F8" si="0">SUM(C6:C7)</f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32"/>
      <c r="H8" s="32"/>
      <c r="I8" s="33"/>
      <c r="J8" s="34"/>
      <c r="K8" s="34"/>
      <c r="L8" s="20">
        <f>SUM(L6:L7)</f>
        <v>0</v>
      </c>
      <c r="M8" s="20">
        <f t="shared" ref="M8:S8" si="1">SUM(M6:M7)</f>
        <v>0</v>
      </c>
      <c r="N8" s="20">
        <f t="shared" si="1"/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  <c r="R8" s="20"/>
      <c r="S8" s="20">
        <f t="shared" si="1"/>
        <v>0</v>
      </c>
      <c r="T8" s="20"/>
      <c r="U8" s="35"/>
      <c r="V8" s="35"/>
      <c r="W8" s="60"/>
      <c r="X8" s="60"/>
      <c r="Y8" s="60"/>
      <c r="Z8" s="60"/>
      <c r="AA8" s="60"/>
      <c r="AB8" s="35"/>
      <c r="AC8" s="6"/>
      <c r="AD8" s="6"/>
      <c r="AE8" s="6"/>
      <c r="AF8" s="6"/>
      <c r="AG8" s="6"/>
      <c r="AH8" s="6"/>
      <c r="AI8" s="6"/>
      <c r="AJ8" s="6"/>
    </row>
    <row r="9" spans="1:36" s="56" customFormat="1" ht="12" thickTop="1">
      <c r="A9" s="45"/>
      <c r="B9" s="46" t="s">
        <v>69</v>
      </c>
      <c r="C9" s="47"/>
      <c r="D9" s="47"/>
      <c r="E9" s="48" t="e">
        <f>+E8/D8</f>
        <v>#DIV/0!</v>
      </c>
      <c r="F9" s="48" t="e">
        <f>+F8/D8</f>
        <v>#DIV/0!</v>
      </c>
      <c r="G9" s="49"/>
      <c r="H9" s="49"/>
      <c r="I9" s="50" t="s">
        <v>68</v>
      </c>
      <c r="J9" s="51"/>
      <c r="K9" s="51"/>
      <c r="L9" s="52" t="e">
        <f>+L8/Q8</f>
        <v>#DIV/0!</v>
      </c>
      <c r="M9" s="53"/>
      <c r="N9" s="53"/>
      <c r="O9" s="52" t="e">
        <f>+O8/Q8</f>
        <v>#DIV/0!</v>
      </c>
      <c r="P9" s="53"/>
      <c r="Q9" s="53"/>
      <c r="R9" s="53"/>
      <c r="S9" s="53"/>
      <c r="T9" s="53"/>
      <c r="U9" s="54"/>
      <c r="V9" s="54"/>
      <c r="W9" s="61"/>
      <c r="X9" s="61"/>
      <c r="Y9" s="61"/>
      <c r="Z9" s="61"/>
      <c r="AA9" s="61"/>
      <c r="AB9" s="54"/>
      <c r="AC9" s="55"/>
      <c r="AD9" s="55"/>
      <c r="AE9" s="55"/>
      <c r="AF9" s="55"/>
      <c r="AG9" s="55"/>
      <c r="AH9" s="55"/>
      <c r="AI9" s="55"/>
      <c r="AJ9" s="55"/>
    </row>
    <row r="10" spans="1:36" s="78" customFormat="1" ht="12.75">
      <c r="A10" s="70"/>
      <c r="B10" s="70"/>
      <c r="C10" s="70"/>
      <c r="D10" s="70"/>
      <c r="E10" s="70"/>
      <c r="F10" s="70"/>
      <c r="G10" s="71"/>
      <c r="H10" s="71"/>
      <c r="I10" s="72"/>
      <c r="J10" s="73"/>
      <c r="K10" s="73"/>
      <c r="L10" s="74"/>
      <c r="M10" s="74"/>
      <c r="N10" s="74"/>
      <c r="O10" s="74"/>
      <c r="P10" s="74"/>
      <c r="Q10" s="74"/>
      <c r="R10" s="74"/>
      <c r="S10" s="74"/>
      <c r="T10" s="74"/>
      <c r="U10" s="75"/>
      <c r="V10" s="75"/>
      <c r="W10" s="119" t="s">
        <v>157</v>
      </c>
      <c r="X10" s="119"/>
      <c r="Y10" s="128"/>
      <c r="Z10" s="76"/>
      <c r="AB10" s="75"/>
      <c r="AC10" s="77"/>
      <c r="AD10" s="77"/>
      <c r="AE10" s="77"/>
      <c r="AF10" s="77"/>
      <c r="AG10" s="77"/>
      <c r="AH10" s="77"/>
      <c r="AI10" s="77"/>
      <c r="AJ10" s="77"/>
    </row>
    <row r="11" spans="1:36" s="78" customFormat="1" ht="12.75">
      <c r="A11" s="70"/>
      <c r="B11" s="111" t="s">
        <v>71</v>
      </c>
      <c r="C11" s="79"/>
      <c r="D11" s="79"/>
      <c r="E11" s="146"/>
      <c r="F11" s="146"/>
      <c r="G11" s="112" t="s">
        <v>143</v>
      </c>
      <c r="H11" s="71"/>
      <c r="I11" s="72"/>
      <c r="J11" s="73"/>
      <c r="K11" s="73"/>
      <c r="R11" s="74"/>
      <c r="S11" s="74"/>
      <c r="T11" s="74"/>
      <c r="U11" s="75"/>
      <c r="V11" s="75"/>
      <c r="W11" s="119" t="s">
        <v>158</v>
      </c>
      <c r="X11" s="119"/>
      <c r="Y11" s="128"/>
      <c r="Z11" s="76"/>
      <c r="AA11" s="117"/>
      <c r="AB11" s="75"/>
      <c r="AC11" s="77"/>
      <c r="AD11" s="77"/>
      <c r="AE11" s="77"/>
      <c r="AF11" s="77"/>
      <c r="AG11" s="77"/>
      <c r="AH11" s="77"/>
      <c r="AI11" s="77"/>
      <c r="AJ11" s="77"/>
    </row>
    <row r="12" spans="1:36" s="78" customFormat="1" ht="18.75" customHeight="1">
      <c r="A12" s="70"/>
      <c r="B12" s="147" t="s">
        <v>72</v>
      </c>
      <c r="C12" s="148"/>
      <c r="D12" s="148"/>
      <c r="E12" s="133">
        <f>VLOOKUP("room_avail",global!$D$2:$E$80,2,0)</f>
        <v>535</v>
      </c>
      <c r="F12" s="133"/>
      <c r="G12" s="100"/>
      <c r="H12" s="71"/>
      <c r="I12" s="72"/>
      <c r="J12" s="73"/>
      <c r="K12" s="73"/>
      <c r="R12" s="74"/>
      <c r="S12" s="74"/>
      <c r="T12" s="74"/>
      <c r="U12" s="75"/>
      <c r="V12" s="75"/>
      <c r="W12" s="76"/>
      <c r="X12" s="76"/>
      <c r="Y12" s="76"/>
      <c r="Z12" s="76"/>
      <c r="AA12" s="118"/>
      <c r="AB12" s="75"/>
      <c r="AC12" s="77"/>
      <c r="AD12" s="77"/>
      <c r="AE12" s="77"/>
      <c r="AF12" s="77"/>
      <c r="AG12" s="77"/>
      <c r="AH12" s="77"/>
      <c r="AI12" s="77"/>
      <c r="AJ12" s="77"/>
    </row>
    <row r="13" spans="1:36" s="78" customFormat="1" ht="12.75">
      <c r="A13" s="70"/>
      <c r="B13" s="149" t="s">
        <v>73</v>
      </c>
      <c r="C13" s="150"/>
      <c r="D13" s="150"/>
      <c r="E13" s="133">
        <f>VLOOKUP("room_occ",global!$D$2:$E$80,2,0)</f>
        <v>336</v>
      </c>
      <c r="F13" s="133"/>
      <c r="G13" s="100"/>
      <c r="H13" s="71"/>
      <c r="I13" s="72"/>
      <c r="J13" s="73"/>
      <c r="K13" s="73"/>
      <c r="R13" s="74"/>
      <c r="S13" s="74"/>
      <c r="T13" s="74"/>
      <c r="U13" s="75"/>
      <c r="V13" s="75"/>
      <c r="Y13" s="70"/>
      <c r="Z13" s="76"/>
      <c r="AB13" s="75"/>
      <c r="AC13" s="77"/>
      <c r="AD13" s="77"/>
      <c r="AE13" s="77"/>
      <c r="AF13" s="77"/>
      <c r="AG13" s="77"/>
      <c r="AH13" s="77"/>
      <c r="AI13" s="77"/>
      <c r="AJ13" s="77"/>
    </row>
    <row r="14" spans="1:36" s="78" customFormat="1" ht="12.75">
      <c r="A14" s="70"/>
      <c r="B14" s="149" t="s">
        <v>74</v>
      </c>
      <c r="C14" s="150"/>
      <c r="D14" s="150"/>
      <c r="E14" s="133">
        <f>VLOOKUP("nguest",global!$D$2:$E$80,2,0)</f>
        <v>647</v>
      </c>
      <c r="F14" s="133"/>
      <c r="G14" s="100">
        <f>VLOOKUP("mtd_tr_guest",global!$D$2:$E$80,2,0)</f>
        <v>525</v>
      </c>
      <c r="H14" s="71"/>
      <c r="I14" s="72"/>
      <c r="J14" s="73"/>
      <c r="K14" s="73"/>
      <c r="R14" s="74"/>
      <c r="S14" s="74"/>
      <c r="T14" s="74"/>
      <c r="U14" s="75"/>
      <c r="V14" s="75"/>
      <c r="W14" s="76"/>
      <c r="X14" s="76"/>
      <c r="Y14" s="76"/>
      <c r="Z14" s="76"/>
      <c r="AA14" s="116"/>
      <c r="AB14" s="75"/>
      <c r="AC14" s="77"/>
      <c r="AD14" s="77"/>
      <c r="AE14" s="77"/>
      <c r="AF14" s="77"/>
      <c r="AG14" s="77"/>
      <c r="AH14" s="77"/>
      <c r="AI14" s="77"/>
      <c r="AJ14" s="77"/>
    </row>
    <row r="15" spans="1:36" s="78" customFormat="1" ht="13.5" thickBot="1">
      <c r="A15" s="70"/>
      <c r="B15" s="149" t="s">
        <v>75</v>
      </c>
      <c r="C15" s="150"/>
      <c r="D15" s="150"/>
      <c r="E15" s="133">
        <f>VLOOKUP("hotel_occ",global!$D$2:$E$80,2,0)</f>
        <v>62.8</v>
      </c>
      <c r="F15" s="133"/>
      <c r="G15" s="100"/>
      <c r="H15" s="71"/>
      <c r="I15" s="72"/>
      <c r="J15" s="73"/>
      <c r="K15" s="73"/>
      <c r="R15" s="74"/>
      <c r="S15" s="74"/>
      <c r="T15" s="74"/>
      <c r="U15" s="75"/>
      <c r="V15" s="75"/>
      <c r="W15" s="76"/>
      <c r="X15" s="76"/>
      <c r="Y15" s="76"/>
      <c r="Z15" s="76"/>
      <c r="AA15" s="115"/>
      <c r="AB15" s="75"/>
      <c r="AC15" s="77"/>
      <c r="AD15" s="77"/>
      <c r="AE15" s="77"/>
      <c r="AF15" s="77"/>
      <c r="AG15" s="77"/>
      <c r="AH15" s="77"/>
      <c r="AI15" s="77"/>
      <c r="AJ15" s="77"/>
    </row>
    <row r="16" spans="1:36" s="78" customFormat="1" ht="13.5" thickBot="1">
      <c r="A16" s="70"/>
      <c r="B16" s="149" t="s">
        <v>76</v>
      </c>
      <c r="C16" s="150"/>
      <c r="D16" s="150"/>
      <c r="E16" s="133">
        <f>VLOOKUP("capt_rate",global!$D$2:$E$80,2,0)</f>
        <v>3.86</v>
      </c>
      <c r="F16" s="133"/>
      <c r="G16" s="100"/>
      <c r="H16" s="71"/>
      <c r="I16" s="72"/>
      <c r="J16" s="73"/>
      <c r="K16" s="73"/>
      <c r="N16" s="134" t="s">
        <v>78</v>
      </c>
      <c r="O16" s="135"/>
      <c r="P16" s="151" t="s">
        <v>81</v>
      </c>
      <c r="Q16" s="151"/>
      <c r="R16" s="80" t="s">
        <v>82</v>
      </c>
      <c r="S16" s="110"/>
      <c r="T16" s="121"/>
      <c r="U16" s="123" t="s">
        <v>93</v>
      </c>
      <c r="V16" s="113" t="s">
        <v>95</v>
      </c>
      <c r="Y16" s="76"/>
      <c r="Z16" s="76"/>
      <c r="AA16" s="76"/>
      <c r="AB16" s="75"/>
      <c r="AC16" s="77"/>
      <c r="AD16" s="77"/>
      <c r="AE16" s="77"/>
      <c r="AF16" s="77"/>
      <c r="AG16" s="77"/>
      <c r="AH16" s="77"/>
      <c r="AI16" s="77"/>
      <c r="AJ16" s="77"/>
    </row>
    <row r="17" spans="1:36" s="78" customFormat="1" ht="13.5" thickTop="1">
      <c r="A17" s="70"/>
      <c r="B17" s="157" t="s">
        <v>77</v>
      </c>
      <c r="C17" s="158"/>
      <c r="D17" s="158"/>
      <c r="E17" s="159">
        <f>VLOOKUP("avg_check",global!$D$2:$E$80,2,0)</f>
        <v>59</v>
      </c>
      <c r="F17" s="159"/>
      <c r="G17" s="101"/>
      <c r="H17" s="71"/>
      <c r="I17" s="72"/>
      <c r="J17" s="73"/>
      <c r="K17" s="73"/>
      <c r="N17" s="137" t="s">
        <v>22</v>
      </c>
      <c r="O17" s="138"/>
      <c r="P17" s="132">
        <f>VLOOKUP("total_tr",global!$D$2:$E$80,2,0)</f>
        <v>17512549</v>
      </c>
      <c r="Q17" s="132"/>
      <c r="R17" s="74"/>
      <c r="S17" s="105"/>
      <c r="T17" s="74"/>
      <c r="U17" s="124" t="s">
        <v>22</v>
      </c>
      <c r="V17" s="82">
        <f>VLOOKUP("nett_tr",global!$D$2:$E$80,2,0)</f>
        <v>14151541.25</v>
      </c>
      <c r="Y17" s="76"/>
      <c r="Z17" s="76"/>
      <c r="AA17" s="76"/>
      <c r="AB17" s="75"/>
      <c r="AC17" s="77"/>
      <c r="AD17" s="77"/>
      <c r="AE17" s="77"/>
      <c r="AF17" s="77"/>
      <c r="AG17" s="77"/>
      <c r="AH17" s="77"/>
      <c r="AI17" s="77"/>
      <c r="AJ17" s="77"/>
    </row>
    <row r="18" spans="1:36" s="78" customFormat="1" ht="15.75" customHeight="1">
      <c r="A18" s="70"/>
      <c r="B18" s="70"/>
      <c r="C18" s="70"/>
      <c r="D18" s="70"/>
      <c r="E18" s="97"/>
      <c r="F18" s="97"/>
      <c r="G18" s="96"/>
      <c r="H18" s="71"/>
      <c r="I18" s="72"/>
      <c r="J18" s="73"/>
      <c r="K18" s="73"/>
      <c r="N18" s="137" t="s">
        <v>23</v>
      </c>
      <c r="O18" s="138"/>
      <c r="P18" s="132">
        <f>VLOOKUP("total_rtl",global!$D$2:$E$80,2,0)</f>
        <v>2259000</v>
      </c>
      <c r="Q18" s="132"/>
      <c r="R18" s="74"/>
      <c r="S18" s="105"/>
      <c r="T18" s="74"/>
      <c r="U18" s="124" t="s">
        <v>23</v>
      </c>
      <c r="V18" s="83">
        <f>VLOOKUP("nett_rtl",global!$D$2:$E$80,2,0)</f>
        <v>2053686.25</v>
      </c>
      <c r="Y18" s="76"/>
      <c r="AC18" s="77"/>
      <c r="AD18" s="77"/>
      <c r="AE18" s="77"/>
      <c r="AF18" s="77"/>
      <c r="AG18" s="77"/>
    </row>
    <row r="19" spans="1:36" s="78" customFormat="1" ht="15.75" customHeight="1" thickBot="1">
      <c r="A19" s="70"/>
      <c r="B19" s="166" t="s">
        <v>96</v>
      </c>
      <c r="C19" s="167"/>
      <c r="D19" s="167"/>
      <c r="E19" s="162" t="s">
        <v>29</v>
      </c>
      <c r="F19" s="162"/>
      <c r="G19" s="98" t="s">
        <v>104</v>
      </c>
      <c r="H19" s="104"/>
      <c r="I19" s="89" t="s">
        <v>105</v>
      </c>
      <c r="J19" s="90" t="s">
        <v>29</v>
      </c>
      <c r="K19" s="103" t="s">
        <v>153</v>
      </c>
      <c r="N19" s="137" t="s">
        <v>79</v>
      </c>
      <c r="O19" s="138"/>
      <c r="P19" s="132">
        <f>VLOOKUP("total_gshop",global!$D$2:$E$80,2,0)</f>
        <v>0</v>
      </c>
      <c r="Q19" s="132"/>
      <c r="R19" s="74"/>
      <c r="S19" s="105"/>
      <c r="T19" s="74"/>
      <c r="U19" s="125" t="s">
        <v>94</v>
      </c>
      <c r="V19" s="84">
        <f>SUM(V17:V18)</f>
        <v>16205227.5</v>
      </c>
      <c r="Y19" s="129"/>
      <c r="AC19" s="77"/>
      <c r="AD19" s="77"/>
      <c r="AE19" s="77"/>
      <c r="AF19" s="77"/>
      <c r="AG19" s="77"/>
    </row>
    <row r="20" spans="1:36" s="78" customFormat="1" ht="15.75" customHeight="1" thickBot="1">
      <c r="A20" s="70"/>
      <c r="B20" s="160" t="s">
        <v>97</v>
      </c>
      <c r="C20" s="161"/>
      <c r="D20" s="161"/>
      <c r="E20" s="163">
        <f>VLOOKUP("mtd_tr_rev",global!$D$2:$E$80,2,0)</f>
        <v>30876.09</v>
      </c>
      <c r="F20" s="163"/>
      <c r="G20" s="99" t="e">
        <f>VLOOKUP("pct_tr_rev",global!$D$2:$E$80,2,0)</f>
        <v>#N/A</v>
      </c>
      <c r="H20" s="87"/>
      <c r="I20" s="91" t="s">
        <v>106</v>
      </c>
      <c r="J20" s="92">
        <f>VLOOKUP("for_msg",global!$D$2:$E$80,2,0)</f>
        <v>50558.53</v>
      </c>
      <c r="K20" s="102">
        <f>+E20-J20</f>
        <v>-19682.439999999999</v>
      </c>
      <c r="N20" s="141" t="s">
        <v>80</v>
      </c>
      <c r="O20" s="142"/>
      <c r="P20" s="143">
        <f>SUM(P17:Q19)</f>
        <v>19771549</v>
      </c>
      <c r="Q20" s="143"/>
      <c r="R20" s="81"/>
      <c r="S20" s="106"/>
      <c r="T20" s="74"/>
      <c r="Y20" s="129"/>
      <c r="AC20" s="77"/>
      <c r="AD20" s="77"/>
      <c r="AE20" s="77"/>
      <c r="AF20" s="77"/>
      <c r="AG20" s="77"/>
    </row>
    <row r="21" spans="1:36" s="78" customFormat="1" ht="15.75" customHeight="1" thickTop="1">
      <c r="A21" s="70"/>
      <c r="B21" s="153" t="s">
        <v>98</v>
      </c>
      <c r="C21" s="154"/>
      <c r="D21" s="154"/>
      <c r="E21" s="164">
        <f>VLOOKUP("mtd_tr_guest",global!$D$2:$E$80,2,0)</f>
        <v>525</v>
      </c>
      <c r="F21" s="164"/>
      <c r="G21" s="100"/>
      <c r="H21" s="71"/>
      <c r="I21" s="91" t="s">
        <v>107</v>
      </c>
      <c r="J21" s="92">
        <f>VLOOKUP("for_tr_guest",global!$D$2:$E$80,2,0)</f>
        <v>0</v>
      </c>
      <c r="K21" s="102">
        <f>+E21-J21</f>
        <v>525</v>
      </c>
      <c r="N21" s="137" t="s">
        <v>83</v>
      </c>
      <c r="O21" s="138"/>
      <c r="P21" s="132">
        <f>VLOOKUP("pay_room_charge",global!$D$2:$E$80,2,0)</f>
        <v>14715357</v>
      </c>
      <c r="Q21" s="132"/>
      <c r="R21" s="74"/>
      <c r="S21" s="105"/>
      <c r="T21" s="74"/>
      <c r="Y21" s="130"/>
      <c r="AC21" s="77"/>
      <c r="AD21" s="77"/>
      <c r="AE21" s="77"/>
      <c r="AF21" s="77"/>
      <c r="AG21" s="77"/>
    </row>
    <row r="22" spans="1:36" s="78" customFormat="1" ht="15.75" customHeight="1">
      <c r="A22" s="70"/>
      <c r="B22" s="153" t="s">
        <v>99</v>
      </c>
      <c r="C22" s="154"/>
      <c r="D22" s="154"/>
      <c r="E22" s="164">
        <f>VLOOKUP("mtd_tr_avgcheck",global!$D$2:$E$80,2,0)</f>
        <v>58.81</v>
      </c>
      <c r="F22" s="164"/>
      <c r="G22" s="100"/>
      <c r="H22" s="71"/>
      <c r="I22" s="91" t="s">
        <v>99</v>
      </c>
      <c r="J22" s="92">
        <f>VLOOKUP("for_tr_avgcheck",global!$D$2:$E$80,2,0)</f>
        <v>0</v>
      </c>
      <c r="K22" s="126">
        <f t="shared" ref="K22:K27" si="2">+E22-J22</f>
        <v>58.81</v>
      </c>
      <c r="N22" s="137" t="s">
        <v>84</v>
      </c>
      <c r="O22" s="138"/>
      <c r="P22" s="132">
        <f>VLOOKUP("pay_package",global!$D$2:$E$80,2,0)</f>
        <v>0</v>
      </c>
      <c r="Q22" s="132"/>
      <c r="R22" s="74"/>
      <c r="S22" s="105"/>
      <c r="T22" s="74"/>
      <c r="U22" s="75"/>
      <c r="V22" s="75"/>
      <c r="W22" s="76"/>
      <c r="X22" s="76"/>
      <c r="Y22" s="76"/>
      <c r="Z22" s="76"/>
      <c r="AA22" s="76"/>
      <c r="AB22" s="75"/>
      <c r="AC22" s="77"/>
      <c r="AD22" s="77"/>
      <c r="AE22" s="77"/>
      <c r="AF22" s="77"/>
      <c r="AG22" s="77"/>
      <c r="AH22" s="77"/>
      <c r="AI22" s="77"/>
      <c r="AJ22" s="77"/>
    </row>
    <row r="23" spans="1:36" s="78" customFormat="1" ht="15.75" customHeight="1">
      <c r="A23" s="70"/>
      <c r="B23" s="155" t="s">
        <v>100</v>
      </c>
      <c r="C23" s="156"/>
      <c r="D23" s="156"/>
      <c r="E23" s="165">
        <f>VLOOKUP("mtd_tr_captrate",global!$D$2:$E$80,2,0)</f>
        <v>0.22</v>
      </c>
      <c r="F23" s="165"/>
      <c r="G23" s="101"/>
      <c r="H23" s="71"/>
      <c r="I23" s="93" t="s">
        <v>100</v>
      </c>
      <c r="J23" s="94">
        <f>VLOOKUP("for_tr_captrate",global!$D$2:$E$80,2,0)</f>
        <v>0</v>
      </c>
      <c r="K23" s="127">
        <f t="shared" si="2"/>
        <v>0.22</v>
      </c>
      <c r="N23" s="137" t="s">
        <v>85</v>
      </c>
      <c r="O23" s="138"/>
      <c r="P23" s="132">
        <f>VLOOKUP("pay_cash",global!$D$2:$E$80,2,0)</f>
        <v>5056192</v>
      </c>
      <c r="Q23" s="132"/>
      <c r="R23" s="107"/>
      <c r="S23" s="105"/>
      <c r="T23" s="74"/>
      <c r="U23" s="75"/>
      <c r="V23" s="75"/>
      <c r="W23" s="76"/>
      <c r="X23" s="76"/>
      <c r="Y23" s="76"/>
      <c r="Z23" s="76"/>
      <c r="AA23" s="76"/>
      <c r="AB23" s="75"/>
      <c r="AC23" s="77"/>
      <c r="AD23" s="77"/>
      <c r="AE23" s="77"/>
      <c r="AF23" s="77"/>
      <c r="AG23" s="77"/>
      <c r="AH23" s="77"/>
      <c r="AI23" s="77"/>
      <c r="AJ23" s="77"/>
    </row>
    <row r="24" spans="1:36" s="78" customFormat="1" ht="15.75" customHeight="1">
      <c r="A24" s="70"/>
      <c r="B24" s="160" t="s">
        <v>101</v>
      </c>
      <c r="C24" s="161"/>
      <c r="D24" s="161"/>
      <c r="E24" s="163">
        <f>VLOOKUP("mtd_rtl_rev",global!$D$2:$E$80,2,0)</f>
        <v>4480.7700000000004</v>
      </c>
      <c r="F24" s="163"/>
      <c r="G24" s="99" t="e">
        <f>VLOOKUP("pct_rtl_rev",global!$D$2:$E$80,2,0)</f>
        <v>#N/A</v>
      </c>
      <c r="H24" s="71"/>
      <c r="I24" s="95" t="s">
        <v>108</v>
      </c>
      <c r="J24" s="92">
        <f>VLOOKUP("for_rtl",global!$D$2:$E$80,2,0)</f>
        <v>4596.16</v>
      </c>
      <c r="K24" s="102">
        <f t="shared" si="2"/>
        <v>-115.38999999999942</v>
      </c>
      <c r="N24" s="137" t="s">
        <v>86</v>
      </c>
      <c r="O24" s="138"/>
      <c r="P24" s="132">
        <f>VLOOKUP("pay_ccard",global!$D$2:$E$80,2,0)</f>
        <v>0</v>
      </c>
      <c r="Q24" s="132"/>
      <c r="R24" s="74"/>
      <c r="S24" s="105"/>
      <c r="T24" s="74"/>
      <c r="U24" s="75"/>
      <c r="V24" s="75"/>
      <c r="W24" s="76"/>
      <c r="X24" s="76"/>
      <c r="Y24" s="76"/>
      <c r="Z24" s="76"/>
      <c r="AA24" s="76"/>
      <c r="AB24" s="75"/>
      <c r="AC24" s="77"/>
      <c r="AD24" s="77"/>
      <c r="AE24" s="77"/>
      <c r="AF24" s="77"/>
      <c r="AG24" s="77"/>
      <c r="AH24" s="77"/>
      <c r="AI24" s="77"/>
      <c r="AJ24" s="77"/>
    </row>
    <row r="25" spans="1:36" s="78" customFormat="1" ht="15.75" customHeight="1">
      <c r="A25" s="70"/>
      <c r="B25" s="153" t="s">
        <v>102</v>
      </c>
      <c r="C25" s="154"/>
      <c r="D25" s="154"/>
      <c r="E25" s="164">
        <f>VLOOKUP("mtd_rtl_guest",global!$D$2:$E$80,2,0)</f>
        <v>42</v>
      </c>
      <c r="F25" s="164"/>
      <c r="G25" s="100"/>
      <c r="H25" s="71"/>
      <c r="I25" s="91" t="s">
        <v>109</v>
      </c>
      <c r="J25" s="92">
        <f>VLOOKUP("for_rtl_guest",global!$D$2:$E$80,2,0)</f>
        <v>0</v>
      </c>
      <c r="K25" s="102">
        <f t="shared" si="2"/>
        <v>42</v>
      </c>
      <c r="N25" s="137" t="s">
        <v>87</v>
      </c>
      <c r="O25" s="138"/>
      <c r="P25" s="132">
        <f>VLOOKUP("pay_voucher",global!$D$2:$E$80,2,0)</f>
        <v>0</v>
      </c>
      <c r="Q25" s="132"/>
      <c r="R25" s="74"/>
      <c r="S25" s="105"/>
      <c r="T25" s="74"/>
      <c r="U25" s="75"/>
      <c r="V25" s="75"/>
      <c r="W25" s="76"/>
      <c r="X25" s="76"/>
      <c r="Y25" s="76"/>
      <c r="Z25" s="76"/>
      <c r="AA25" s="76"/>
      <c r="AB25" s="75"/>
      <c r="AC25" s="77"/>
      <c r="AD25" s="77"/>
      <c r="AE25" s="77"/>
      <c r="AF25" s="77"/>
      <c r="AG25" s="77"/>
      <c r="AH25" s="77"/>
      <c r="AI25" s="77"/>
      <c r="AJ25" s="77"/>
    </row>
    <row r="26" spans="1:36" s="78" customFormat="1" ht="15.75" customHeight="1">
      <c r="A26" s="70"/>
      <c r="B26" s="153" t="s">
        <v>99</v>
      </c>
      <c r="C26" s="154"/>
      <c r="D26" s="154"/>
      <c r="E26" s="164">
        <f>VLOOKUP("mtd_rtl_avgcheck",global!$D$2:$E$80,2,0)</f>
        <v>106.69</v>
      </c>
      <c r="F26" s="164"/>
      <c r="G26" s="100"/>
      <c r="H26" s="71"/>
      <c r="I26" s="91" t="s">
        <v>99</v>
      </c>
      <c r="J26" s="92">
        <f>VLOOKUP("for_rtl_avgcheck",global!$D$2:$E$80,2,0)</f>
        <v>0</v>
      </c>
      <c r="K26" s="126">
        <f t="shared" si="2"/>
        <v>106.69</v>
      </c>
      <c r="N26" s="137" t="s">
        <v>88</v>
      </c>
      <c r="O26" s="138"/>
      <c r="P26" s="132">
        <f>VLOOKUP("pay_others",global!$D$2:$E$80,2,0)</f>
        <v>0</v>
      </c>
      <c r="Q26" s="132"/>
      <c r="R26" s="74"/>
      <c r="S26" s="105"/>
      <c r="T26" s="74"/>
      <c r="U26" s="75"/>
      <c r="V26" s="75"/>
      <c r="W26" s="76"/>
      <c r="X26" s="76"/>
      <c r="Y26" s="76"/>
      <c r="Z26" s="76"/>
      <c r="AA26" s="76"/>
      <c r="AB26" s="75"/>
      <c r="AC26" s="77"/>
      <c r="AD26" s="77"/>
      <c r="AE26" s="77"/>
      <c r="AF26" s="77"/>
      <c r="AG26" s="77"/>
      <c r="AH26" s="77"/>
      <c r="AI26" s="77"/>
      <c r="AJ26" s="77"/>
    </row>
    <row r="27" spans="1:36" s="78" customFormat="1" ht="15.75" customHeight="1">
      <c r="A27" s="70"/>
      <c r="B27" s="155" t="s">
        <v>103</v>
      </c>
      <c r="C27" s="156"/>
      <c r="D27" s="156"/>
      <c r="E27" s="165">
        <f>VLOOKUP("mtd_rtl_captrate",global!$D$2:$E$80,2,0)</f>
        <v>8</v>
      </c>
      <c r="F27" s="165"/>
      <c r="G27" s="101"/>
      <c r="H27" s="71"/>
      <c r="I27" s="93" t="s">
        <v>103</v>
      </c>
      <c r="J27" s="94">
        <f>VLOOKUP("for_rtl_captrate",global!$D$2:$E$80,2,0)</f>
        <v>0</v>
      </c>
      <c r="K27" s="127">
        <f t="shared" si="2"/>
        <v>8</v>
      </c>
      <c r="N27" s="139" t="s">
        <v>80</v>
      </c>
      <c r="O27" s="140"/>
      <c r="P27" s="131">
        <f>SUM(P21:Q26)</f>
        <v>19771549</v>
      </c>
      <c r="Q27" s="131"/>
      <c r="R27" s="108"/>
      <c r="S27" s="109"/>
      <c r="T27" s="74"/>
      <c r="U27" s="75"/>
      <c r="V27" s="75"/>
      <c r="W27" s="76"/>
      <c r="X27" s="76"/>
      <c r="Y27" s="76"/>
      <c r="Z27" s="76"/>
      <c r="AA27" s="76"/>
      <c r="AB27" s="75"/>
      <c r="AC27" s="77"/>
      <c r="AD27" s="77"/>
      <c r="AE27" s="77"/>
      <c r="AF27" s="77"/>
      <c r="AG27" s="77"/>
      <c r="AH27" s="77"/>
      <c r="AI27" s="77"/>
      <c r="AJ27" s="77"/>
    </row>
    <row r="28" spans="1:36" s="78" customFormat="1" ht="12.75">
      <c r="A28" s="70"/>
      <c r="B28" s="70"/>
      <c r="C28" s="70"/>
      <c r="D28" s="70"/>
      <c r="E28" s="70"/>
      <c r="F28" s="70"/>
      <c r="G28" s="71"/>
      <c r="H28" s="71"/>
      <c r="I28" s="72"/>
      <c r="J28" s="73"/>
      <c r="K28" s="73"/>
      <c r="L28" s="74"/>
      <c r="M28" s="74"/>
      <c r="N28" s="74"/>
      <c r="O28" s="74"/>
      <c r="P28" s="74"/>
      <c r="Q28" s="74"/>
      <c r="R28" s="74"/>
      <c r="S28" s="74"/>
      <c r="T28" s="74"/>
      <c r="U28" s="75"/>
      <c r="V28" s="75"/>
      <c r="W28" s="76"/>
      <c r="X28" s="76"/>
      <c r="Y28" s="76"/>
      <c r="Z28" s="76"/>
      <c r="AA28" s="76"/>
      <c r="AB28" s="75"/>
      <c r="AC28" s="77"/>
      <c r="AD28" s="77"/>
      <c r="AE28" s="77"/>
      <c r="AF28" s="77"/>
      <c r="AG28" s="77"/>
      <c r="AH28" s="77"/>
      <c r="AI28" s="77"/>
      <c r="AJ28" s="77"/>
    </row>
  </sheetData>
  <mergeCells count="59">
    <mergeCell ref="B24:D24"/>
    <mergeCell ref="B25:D25"/>
    <mergeCell ref="B26:D26"/>
    <mergeCell ref="B27:D27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9:D19"/>
    <mergeCell ref="B20:D20"/>
    <mergeCell ref="B21:D21"/>
    <mergeCell ref="B22:D22"/>
    <mergeCell ref="N21:O21"/>
    <mergeCell ref="B23:D23"/>
    <mergeCell ref="B14:D14"/>
    <mergeCell ref="B15:D15"/>
    <mergeCell ref="B16:D16"/>
    <mergeCell ref="B17:D17"/>
    <mergeCell ref="E17:F17"/>
    <mergeCell ref="P19:Q19"/>
    <mergeCell ref="P20:Q20"/>
    <mergeCell ref="P21:Q21"/>
    <mergeCell ref="B3:C3"/>
    <mergeCell ref="I3:J3"/>
    <mergeCell ref="P17:Q17"/>
    <mergeCell ref="P18:Q18"/>
    <mergeCell ref="E11:F11"/>
    <mergeCell ref="B12:D12"/>
    <mergeCell ref="B13:D13"/>
    <mergeCell ref="P16:Q16"/>
    <mergeCell ref="E4:F4"/>
    <mergeCell ref="E12:F12"/>
    <mergeCell ref="E14:F14"/>
    <mergeCell ref="E15:F15"/>
    <mergeCell ref="E16:F16"/>
    <mergeCell ref="E13:F13"/>
    <mergeCell ref="N16:O16"/>
    <mergeCell ref="I2:J2"/>
    <mergeCell ref="N26:O26"/>
    <mergeCell ref="N27:O27"/>
    <mergeCell ref="N22:O22"/>
    <mergeCell ref="N23:O23"/>
    <mergeCell ref="N24:O24"/>
    <mergeCell ref="N25:O25"/>
    <mergeCell ref="N17:O17"/>
    <mergeCell ref="N18:O18"/>
    <mergeCell ref="N19:O19"/>
    <mergeCell ref="N20:O20"/>
    <mergeCell ref="P27:Q27"/>
    <mergeCell ref="P22:Q22"/>
    <mergeCell ref="P23:Q23"/>
    <mergeCell ref="P24:Q24"/>
    <mergeCell ref="P25:Q25"/>
    <mergeCell ref="P26:Q26"/>
  </mergeCells>
  <pageMargins left="0.7" right="0.7" top="0.75" bottom="0.75" header="0.51180555555555496" footer="0.51180555555555496"/>
  <pageSetup scale="40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BOffice</cp:lastModifiedBy>
  <cp:revision>0</cp:revision>
  <cp:lastPrinted>2012-09-05T03:17:24Z</cp:lastPrinted>
  <dcterms:created xsi:type="dcterms:W3CDTF">2012-04-11T13:32:51Z</dcterms:created>
  <dcterms:modified xsi:type="dcterms:W3CDTF">2013-08-25T03:03:38Z</dcterms:modified>
</cp:coreProperties>
</file>